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15480" windowHeight="8445"/>
  </bookViews>
  <sheets>
    <sheet name="תנאי סף" sheetId="2" r:id="rId1"/>
    <sheet name="איכות" sheetId="3" r:id="rId2"/>
    <sheet name="מחיר" sheetId="5" r:id="rId3"/>
    <sheet name="סופי" sheetId="4" r:id="rId4"/>
  </sheets>
  <externalReferences>
    <externalReference r:id="rId5"/>
  </externalReferences>
  <definedNames>
    <definedName name="_Ref281262293" localSheetId="0">'תנאי סף'!$C$8</definedName>
    <definedName name="_Ref281265256" localSheetId="0">'תנאי סף'!$C$9</definedName>
  </definedNames>
  <calcPr calcId="145621"/>
</workbook>
</file>

<file path=xl/calcChain.xml><?xml version="1.0" encoding="utf-8"?>
<calcChain xmlns="http://schemas.openxmlformats.org/spreadsheetml/2006/main">
  <c r="F24" i="3" l="1"/>
  <c r="F23" i="3"/>
  <c r="J24" i="3"/>
  <c r="J23" i="3"/>
  <c r="N38" i="3"/>
  <c r="N39" i="3"/>
  <c r="N40" i="3"/>
  <c r="N41" i="3"/>
  <c r="N42" i="3"/>
  <c r="N43" i="3"/>
  <c r="N44" i="3"/>
  <c r="N37" i="3"/>
  <c r="I38" i="3"/>
  <c r="I39" i="3"/>
  <c r="I40" i="3"/>
  <c r="I41" i="3"/>
  <c r="I42" i="3"/>
  <c r="I43" i="3"/>
  <c r="I44" i="3"/>
  <c r="I37" i="3"/>
  <c r="P24" i="3" l="1"/>
  <c r="P23" i="3"/>
  <c r="M24" i="3"/>
  <c r="M23" i="3"/>
  <c r="E4" i="5" l="1"/>
  <c r="E6" i="5" s="1"/>
  <c r="D4" i="5"/>
  <c r="D6" i="5" s="1"/>
  <c r="C4" i="5"/>
  <c r="C6" i="5" s="1"/>
  <c r="E7" i="5" s="1"/>
  <c r="F4" i="4" s="1"/>
  <c r="D2" i="5"/>
  <c r="E2" i="5"/>
  <c r="C2" i="5"/>
  <c r="P25" i="3"/>
  <c r="O26" i="3" s="1"/>
  <c r="M25" i="3"/>
  <c r="L26" i="3" s="1"/>
  <c r="Q25" i="3"/>
  <c r="N25" i="3"/>
  <c r="J25" i="3"/>
  <c r="K25" i="3" s="1"/>
  <c r="K23" i="3"/>
  <c r="N23" i="3" s="1"/>
  <c r="Q23" i="3" s="1"/>
  <c r="P13" i="3"/>
  <c r="M13" i="3"/>
  <c r="J13" i="3"/>
  <c r="P12" i="3"/>
  <c r="M12" i="3"/>
  <c r="J12" i="3"/>
  <c r="P8" i="3"/>
  <c r="M8" i="3"/>
  <c r="J8" i="3"/>
  <c r="P4" i="3"/>
  <c r="M4" i="3"/>
  <c r="J4" i="3"/>
  <c r="I26" i="3" l="1"/>
  <c r="C7" i="5"/>
  <c r="D4" i="4" s="1"/>
  <c r="D7" i="5"/>
  <c r="E4" i="4" s="1"/>
  <c r="C5" i="4"/>
  <c r="F2" i="4"/>
  <c r="E2" i="4"/>
  <c r="D2" i="4"/>
  <c r="P18" i="3"/>
  <c r="M18" i="3"/>
  <c r="J18" i="3"/>
  <c r="P17" i="3"/>
  <c r="M17" i="3"/>
  <c r="J17" i="3"/>
  <c r="Q4" i="3"/>
  <c r="O27" i="3" s="1"/>
  <c r="K4" i="3"/>
  <c r="I27" i="3" s="1"/>
  <c r="O2" i="3"/>
  <c r="L2" i="3"/>
  <c r="I2" i="3"/>
  <c r="H27" i="3"/>
  <c r="N4" i="3"/>
  <c r="L27" i="3" s="1"/>
  <c r="I28" i="3" l="1"/>
  <c r="I29" i="3"/>
  <c r="D3" i="4" s="1"/>
  <c r="D5" i="4" s="1"/>
  <c r="L29" i="3"/>
  <c r="E3" i="4" s="1"/>
  <c r="E5" i="4" s="1"/>
  <c r="L28" i="3"/>
  <c r="O28" i="3"/>
  <c r="O29" i="3"/>
  <c r="F3" i="4" s="1"/>
  <c r="F5" i="4" s="1"/>
</calcChain>
</file>

<file path=xl/sharedStrings.xml><?xml version="1.0" encoding="utf-8"?>
<sst xmlns="http://schemas.openxmlformats.org/spreadsheetml/2006/main" count="107" uniqueCount="89">
  <si>
    <t>משקל</t>
  </si>
  <si>
    <t>פרמטר</t>
  </si>
  <si>
    <t>סעיף</t>
  </si>
  <si>
    <t>פירוט</t>
  </si>
  <si>
    <t>מציע מס' 1</t>
  </si>
  <si>
    <t>מציע מס' 2</t>
  </si>
  <si>
    <t>מציע מס' 3</t>
  </si>
  <si>
    <t>3.1.1</t>
  </si>
  <si>
    <t>הוא אזרח ישראלי או תאגיד המאוגד כדין בישראל</t>
  </si>
  <si>
    <t>3.1.2</t>
  </si>
  <si>
    <t>המציע עומד בדרישות תקנה 6(א) לתקנות חובת המכרזים, התשנ"ג - 1993 ובכלל זה מחזיק בכל האישורים הנדרשים לפי חוק עסקאות גופים ציבוריים (אכיפת ניהול חשבונות ותשלום חובות מס), כשהם תקפים</t>
  </si>
  <si>
    <t>3.1.3</t>
  </si>
  <si>
    <t>3.1.4</t>
  </si>
  <si>
    <t>אין מניעה, לפי כל דין ו/או הסכם שהמציע צד לו, להשתתפותו במכרז ואין, לפי שיקול דעתו הבלעדי והמוחלט של המשרד, אפשרות כלשהי לקיומו של ניגוד עניינים, ישיר או עקיף, בין ענייני המציע ו/או בעלי השליטה בו ו/או נושאי המשרה שלו ו/או הפועלים מטעמו, לבין ענייני המשרד ו/או מתן השירותים</t>
  </si>
  <si>
    <t>3.1.5</t>
  </si>
  <si>
    <t>מרכיבי איכות</t>
  </si>
  <si>
    <t>פרמטר משנה</t>
  </si>
  <si>
    <t>מרכיב ציון</t>
  </si>
  <si>
    <t>משקל פרמטר משנה</t>
  </si>
  <si>
    <t>היקף / רמה שהוצג/ה</t>
  </si>
  <si>
    <t>ציון לפרמטר משנה</t>
  </si>
  <si>
    <t>ציון לפרמטר</t>
  </si>
  <si>
    <t>התרשמות מניסיון קודם</t>
  </si>
  <si>
    <t>רמה נמוכה מאוד</t>
  </si>
  <si>
    <t>רמה נמוכה</t>
  </si>
  <si>
    <t xml:space="preserve">רמה בינונית </t>
  </si>
  <si>
    <t>רמה גבוהה</t>
  </si>
  <si>
    <t>רמה גבוהה מאוד</t>
  </si>
  <si>
    <t>סה"כ ציון איכות</t>
  </si>
  <si>
    <t>סף איכות</t>
  </si>
  <si>
    <t>ציון איכות משוקלל - לאחר נירמול</t>
  </si>
  <si>
    <t>התרשמות מחוו"ד של לקוחות קודמים</t>
  </si>
  <si>
    <t>התרשמות מראיון</t>
  </si>
  <si>
    <t>ידורג יחסית להצעות האחרות</t>
  </si>
  <si>
    <t>ציון מ-1 עד 100</t>
  </si>
  <si>
    <t>ציון מחיר</t>
  </si>
  <si>
    <t>מרכיב בציון</t>
  </si>
  <si>
    <t>ציון איכות</t>
  </si>
  <si>
    <t>סה"כ</t>
  </si>
  <si>
    <t>3 עד 5 גופים</t>
  </si>
  <si>
    <t>6 עד 10 גופים</t>
  </si>
  <si>
    <t>11 עד 15 גופים</t>
  </si>
  <si>
    <t>מעל 16 גופים</t>
  </si>
  <si>
    <t>11 עד 20 גופים</t>
  </si>
  <si>
    <t>21 עד 30 גופים</t>
  </si>
  <si>
    <t>מעל 31 גופים</t>
  </si>
  <si>
    <t>3.1.7</t>
  </si>
  <si>
    <t>כמות גופים בהם בוצעו פרויקטים בתחום הביטחון והבטיחות בחמש השנים האחרונות</t>
  </si>
  <si>
    <t>כמות גופים בהם בוצעו פרויקטים בתחום הביטחון והבטיחות במוזיאונים בארץ בחמש השנים האחרונות</t>
  </si>
  <si>
    <t>7.7.1</t>
  </si>
  <si>
    <t>התרשמות מניסיון בכתיבת נהלי ביטחון ובטיחות</t>
  </si>
  <si>
    <t>1 עד 10 גופים</t>
  </si>
  <si>
    <t xml:space="preserve">פרויקטים </t>
  </si>
  <si>
    <t>1 עד 5 גופים</t>
  </si>
  <si>
    <t>7.7.2</t>
  </si>
  <si>
    <t>ותק המציע</t>
  </si>
  <si>
    <t>7.7.3</t>
  </si>
  <si>
    <t>ציון מינמאלי בראיון 80</t>
  </si>
  <si>
    <t>סוג יועץ</t>
  </si>
  <si>
    <t>מחיר לשעה בהוראת החשכ"ל</t>
  </si>
  <si>
    <t>אחוז הנחה</t>
  </si>
  <si>
    <t>מחיר לאחר הנחה</t>
  </si>
  <si>
    <t>יועץ 1</t>
  </si>
  <si>
    <t>יועץ 2</t>
  </si>
  <si>
    <t>יועץ 3</t>
  </si>
  <si>
    <t>יועץ 4</t>
  </si>
  <si>
    <t>יועץ 5</t>
  </si>
  <si>
    <t>4.10</t>
  </si>
  <si>
    <t>מקצועיות, תוכנית עבודה מוצעת, עבודת צוות ויכולת עמידה בזמנים</t>
  </si>
  <si>
    <t>שנות ניסיון בעבודות בתחומי הביטחון והבטיחות במוזיאונים מוכרים בארץ ו/או מוזיאונים בעלי מוניטין בחו"ל</t>
  </si>
  <si>
    <t>שנות ניסיון בעבודות בתחומי הביטחון והבטיחות בגופים ציבוריים</t>
  </si>
  <si>
    <t>מחירון החשכ"ל</t>
  </si>
  <si>
    <t>על-פי הטבלה שבתא</t>
  </si>
  <si>
    <t>שנת ניסיון</t>
  </si>
  <si>
    <t>ניקוד בפרמטר "ותק"</t>
  </si>
  <si>
    <t>ניקוד בחלק האיכות</t>
  </si>
  <si>
    <t xml:space="preserve">בגופים ציבוריים </t>
  </si>
  <si>
    <t>במוזיאונים</t>
  </si>
  <si>
    <t>כמות ומורכבות פרויקטים בתחום הביטחון והבטיחות במוזיאונים בחו"ל בחמש השנים האחרונות</t>
  </si>
  <si>
    <t>במועד הגשת ההצעה, למציע, ואם המציע הינו תאגיד - ליועץ שמוצע מטעמו לביצוע העבודות, ניסיון של שלוש שנים לפחות, בעבודה בתחום הביטחון והבטיחות בגופים ציבוריים</t>
  </si>
  <si>
    <t>במועד הגשת ההצעה, למציע, ואם המציע הינו תאגיד - ליועץ שמוצע מטעמו לביצוע העבודות, ניסיון של שלוש שנים לפחות, בעבודה בתחום הביטחון והבטיחות במוזיאונים בארץ ו/או במוזיאונים בעלי מוניטין בחו"ל</t>
  </si>
  <si>
    <t>המציע, ואם המציע הינו תאגיד - היועץ שמוצע מטעמו לביצוע העבודות, הינו בעל מומחיות וניסיון מוכחים בשימוש ובתפעול של מערכות לגילוי אש, בשני פרויקטים לפחות</t>
  </si>
  <si>
    <t>3.1.6</t>
  </si>
  <si>
    <t>המציע, ואם המציע הינו תאגיד - היועץ שמוצע מטעמו לביצוע העבודות, הינו בעל תעודת ממונה בטיחות וגהות בעבודה מטעם המוסד לבטיחות וגהות או מטעם האגף לפיקוח על העבודה שבמשרד התמ"ת</t>
  </si>
  <si>
    <t>3.1.8</t>
  </si>
  <si>
    <t>3.1.9</t>
  </si>
  <si>
    <t>המציע בעל ניסיון מוכח של שלוש שנים לפחות אשר נרכש ב- 10 השנים האחרונות במתן יעוץ בנושא אבטחה ומיגון למוזיאונים מוכרים בארץ ו/או במוזיאונים בעלי מוניטין בחו"ל</t>
  </si>
  <si>
    <t xml:space="preserve"> המציע בעל רישיון מיוחד בר תוקף להחזקת כלי ירייה לפי סעיף 10 א' לחוק כלי ירייה תש"ט 1949 מטעם משרד הפנים</t>
  </si>
  <si>
    <t>כמות פרויקטים בתחום התכנון של מערכות לגילוי אש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</si>
</sst>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 [$₪-40D]\ * #,##0.00_ ;_ [$₪-40D]\ * \-#,##0.00_ ;_ [$₪-40D]\ * &quot;-&quot;??_ ;_ @_ "/>
  </numFmts>
  <fonts count="11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David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2">
    <xf numFmtId="0" fontId="0" fillId="0" borderId="0" xfId="0"/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0" xfId="0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1" fillId="5" borderId="9" xfId="1" applyNumberFormat="1" applyFont="1" applyFill="1" applyBorder="1" applyAlignment="1" applyProtection="1">
      <alignment horizontal="center" vertic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3" xfId="0" applyFill="1" applyBorder="1" applyAlignment="1">
      <alignment horizontal="center"/>
    </xf>
    <xf numFmtId="9" fontId="0" fillId="4" borderId="4" xfId="1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9" fontId="1" fillId="5" borderId="6" xfId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2" fontId="1" fillId="5" borderId="18" xfId="0" applyNumberFormat="1" applyFont="1" applyFill="1" applyBorder="1" applyAlignment="1">
      <alignment horizontal="center"/>
    </xf>
    <xf numFmtId="164" fontId="0" fillId="0" borderId="0" xfId="0" applyNumberFormat="1" applyBorder="1" applyAlignment="1" applyProtection="1">
      <alignment horizontal="center" vertical="center"/>
    </xf>
    <xf numFmtId="0" fontId="0" fillId="0" borderId="0" xfId="0" applyProtection="1"/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0" fillId="4" borderId="4" xfId="0" applyFill="1" applyBorder="1" applyAlignment="1" applyProtection="1">
      <alignment horizontal="right" wrapText="1"/>
    </xf>
    <xf numFmtId="0" fontId="0" fillId="4" borderId="4" xfId="0" applyFill="1" applyBorder="1" applyAlignment="1" applyProtection="1">
      <alignment horizontal="right" wrapText="1" readingOrder="2"/>
    </xf>
    <xf numFmtId="0" fontId="3" fillId="4" borderId="4" xfId="0" applyFont="1" applyFill="1" applyBorder="1" applyAlignment="1" applyProtection="1">
      <alignment horizontal="right" wrapText="1" readingOrder="2"/>
    </xf>
    <xf numFmtId="0" fontId="0" fillId="4" borderId="6" xfId="0" applyFill="1" applyBorder="1" applyAlignment="1" applyProtection="1">
      <alignment horizontal="right" wrapText="1"/>
    </xf>
    <xf numFmtId="0" fontId="0" fillId="0" borderId="0" xfId="0" applyBorder="1" applyAlignment="1" applyProtection="1">
      <alignment horizontal="center" vertical="center"/>
    </xf>
    <xf numFmtId="165" fontId="0" fillId="0" borderId="0" xfId="0" applyNumberFormat="1" applyAlignment="1">
      <alignment readingOrder="2"/>
    </xf>
    <xf numFmtId="165" fontId="0" fillId="0" borderId="4" xfId="0" applyNumberFormat="1" applyBorder="1" applyAlignment="1">
      <alignment horizontal="center"/>
    </xf>
    <xf numFmtId="0" fontId="2" fillId="3" borderId="7" xfId="0" applyFont="1" applyFill="1" applyBorder="1" applyAlignment="1" applyProtection="1">
      <alignment horizontal="center" wrapText="1"/>
    </xf>
    <xf numFmtId="165" fontId="0" fillId="0" borderId="8" xfId="0" applyNumberFormat="1" applyBorder="1" applyAlignment="1">
      <alignment horizontal="center"/>
    </xf>
    <xf numFmtId="0" fontId="0" fillId="3" borderId="1" xfId="0" applyFill="1" applyBorder="1"/>
    <xf numFmtId="0" fontId="0" fillId="4" borderId="3" xfId="0" applyFill="1" applyBorder="1"/>
    <xf numFmtId="2" fontId="1" fillId="0" borderId="6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9" fontId="0" fillId="0" borderId="4" xfId="1" applyFont="1" applyBorder="1" applyAlignment="1" applyProtection="1">
      <alignment horizontal="center"/>
      <protection locked="0"/>
    </xf>
    <xf numFmtId="9" fontId="0" fillId="0" borderId="8" xfId="1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</xf>
    <xf numFmtId="0" fontId="0" fillId="4" borderId="16" xfId="0" applyFill="1" applyBorder="1" applyAlignment="1" applyProtection="1">
      <alignment horizontal="center" vertical="center" wrapText="1" readingOrder="2"/>
    </xf>
    <xf numFmtId="0" fontId="0" fillId="4" borderId="9" xfId="0" applyFill="1" applyBorder="1" applyAlignment="1" applyProtection="1">
      <alignment horizontal="center" vertical="center" wrapText="1"/>
    </xf>
    <xf numFmtId="9" fontId="0" fillId="4" borderId="10" xfId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9" fontId="0" fillId="4" borderId="4" xfId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</xf>
    <xf numFmtId="0" fontId="0" fillId="4" borderId="9" xfId="0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readingOrder="1"/>
    </xf>
    <xf numFmtId="0" fontId="0" fillId="0" borderId="10" xfId="0" applyBorder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 wrapText="1"/>
    </xf>
    <xf numFmtId="0" fontId="0" fillId="4" borderId="25" xfId="0" applyFill="1" applyBorder="1" applyAlignment="1" applyProtection="1">
      <alignment vertical="center" wrapText="1"/>
    </xf>
    <xf numFmtId="0" fontId="0" fillId="4" borderId="26" xfId="0" applyFill="1" applyBorder="1" applyAlignment="1" applyProtection="1">
      <alignment vertical="center" wrapText="1"/>
    </xf>
    <xf numFmtId="9" fontId="0" fillId="4" borderId="26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4" borderId="6" xfId="0" applyFill="1" applyBorder="1" applyAlignment="1" applyProtection="1">
      <alignment horizontal="center" vertical="center" wrapText="1"/>
    </xf>
    <xf numFmtId="0" fontId="0" fillId="4" borderId="30" xfId="0" applyFill="1" applyBorder="1" applyAlignment="1" applyProtection="1">
      <alignment vertical="center" wrapText="1"/>
    </xf>
    <xf numFmtId="9" fontId="0" fillId="4" borderId="31" xfId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9" fontId="1" fillId="5" borderId="10" xfId="0" applyNumberFormat="1" applyFont="1" applyFill="1" applyBorder="1" applyAlignment="1" applyProtection="1">
      <alignment horizontal="center" vertical="center"/>
    </xf>
    <xf numFmtId="0" fontId="0" fillId="0" borderId="33" xfId="0" applyBorder="1" applyAlignment="1">
      <alignment horizontal="center" vertical="center"/>
    </xf>
    <xf numFmtId="9" fontId="0" fillId="4" borderId="6" xfId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 readingOrder="1"/>
    </xf>
    <xf numFmtId="2" fontId="0" fillId="0" borderId="36" xfId="0" applyNumberFormat="1" applyBorder="1" applyAlignment="1" applyProtection="1">
      <alignment horizontal="center" vertical="center"/>
    </xf>
    <xf numFmtId="0" fontId="8" fillId="0" borderId="5" xfId="0" applyFont="1" applyBorder="1" applyAlignment="1">
      <alignment horizontal="center" vertical="center" readingOrder="1"/>
    </xf>
    <xf numFmtId="0" fontId="8" fillId="0" borderId="6" xfId="0" applyFont="1" applyBorder="1" applyAlignment="1">
      <alignment horizontal="center" vertical="center" readingOrder="1"/>
    </xf>
    <xf numFmtId="0" fontId="9" fillId="0" borderId="6" xfId="0" applyFont="1" applyBorder="1" applyAlignment="1">
      <alignment horizontal="center" vertical="center" wrapText="1" readingOrder="1"/>
    </xf>
    <xf numFmtId="2" fontId="0" fillId="0" borderId="37" xfId="0" applyNumberForma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 readingOrder="1"/>
    </xf>
    <xf numFmtId="0" fontId="7" fillId="0" borderId="5" xfId="0" applyFont="1" applyBorder="1" applyAlignment="1">
      <alignment horizontal="center" vertical="center" readingOrder="1"/>
    </xf>
    <xf numFmtId="0" fontId="7" fillId="0" borderId="6" xfId="0" applyFont="1" applyBorder="1" applyAlignment="1">
      <alignment horizontal="center" vertical="center" readingOrder="1"/>
    </xf>
    <xf numFmtId="0" fontId="8" fillId="0" borderId="6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 readingOrder="1"/>
    </xf>
    <xf numFmtId="0" fontId="7" fillId="0" borderId="10" xfId="0" applyFont="1" applyBorder="1" applyAlignment="1">
      <alignment horizontal="center" vertical="center" readingOrder="1"/>
    </xf>
    <xf numFmtId="0" fontId="8" fillId="0" borderId="10" xfId="0" applyFont="1" applyBorder="1" applyAlignment="1">
      <alignment horizontal="center" vertical="center" wrapText="1" readingOrder="1"/>
    </xf>
    <xf numFmtId="0" fontId="6" fillId="6" borderId="12" xfId="0" applyFont="1" applyFill="1" applyBorder="1" applyAlignment="1">
      <alignment horizontal="center" vertical="center" wrapText="1" readingOrder="2"/>
    </xf>
    <xf numFmtId="0" fontId="6" fillId="6" borderId="13" xfId="0" applyFont="1" applyFill="1" applyBorder="1" applyAlignment="1">
      <alignment horizontal="center" vertical="center" wrapText="1" readingOrder="2"/>
    </xf>
    <xf numFmtId="0" fontId="0" fillId="7" borderId="38" xfId="0" applyFill="1" applyBorder="1" applyAlignment="1" applyProtection="1">
      <alignment horizontal="center" vertical="center"/>
    </xf>
    <xf numFmtId="0" fontId="8" fillId="0" borderId="15" xfId="0" applyFont="1" applyBorder="1" applyAlignment="1">
      <alignment horizontal="center" vertical="center" readingOrder="1"/>
    </xf>
    <xf numFmtId="0" fontId="8" fillId="0" borderId="10" xfId="0" applyFont="1" applyBorder="1" applyAlignment="1">
      <alignment horizontal="center" vertical="center" readingOrder="1"/>
    </xf>
    <xf numFmtId="0" fontId="10" fillId="6" borderId="12" xfId="0" applyFont="1" applyFill="1" applyBorder="1" applyAlignment="1">
      <alignment horizontal="center" vertical="center" wrapText="1" readingOrder="2"/>
    </xf>
    <xf numFmtId="0" fontId="10" fillId="6" borderId="13" xfId="0" applyFont="1" applyFill="1" applyBorder="1" applyAlignment="1">
      <alignment horizontal="center" vertical="center" wrapText="1" readingOrder="2"/>
    </xf>
    <xf numFmtId="0" fontId="0" fillId="3" borderId="8" xfId="0" applyFill="1" applyBorder="1" applyAlignment="1" applyProtection="1">
      <alignment horizontal="center" vertical="center"/>
    </xf>
    <xf numFmtId="0" fontId="0" fillId="4" borderId="6" xfId="0" applyFill="1" applyBorder="1" applyAlignment="1" applyProtection="1">
      <alignment horizontal="center" vertical="center"/>
    </xf>
    <xf numFmtId="0" fontId="0" fillId="4" borderId="22" xfId="0" applyFill="1" applyBorder="1" applyAlignment="1" applyProtection="1">
      <alignment vertical="center" wrapText="1"/>
    </xf>
    <xf numFmtId="0" fontId="0" fillId="0" borderId="41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right" vertical="center" wrapText="1" readingOrder="2"/>
    </xf>
    <xf numFmtId="0" fontId="3" fillId="4" borderId="4" xfId="0" applyFont="1" applyFill="1" applyBorder="1" applyAlignment="1" applyProtection="1">
      <alignment horizontal="right" vertical="center" wrapText="1" readingOrder="2"/>
    </xf>
    <xf numFmtId="0" fontId="0" fillId="2" borderId="4" xfId="0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0" fillId="4" borderId="3" xfId="0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1" fontId="0" fillId="0" borderId="9" xfId="0" applyNumberFormat="1" applyBorder="1" applyAlignment="1" applyProtection="1">
      <alignment horizontal="center" vertical="center"/>
    </xf>
    <xf numFmtId="1" fontId="0" fillId="0" borderId="14" xfId="0" applyNumberFormat="1" applyBorder="1" applyAlignment="1" applyProtection="1">
      <alignment horizontal="center" vertical="center"/>
    </xf>
    <xf numFmtId="1" fontId="0" fillId="0" borderId="10" xfId="0" applyNumberFormat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0" fillId="4" borderId="5" xfId="0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</xf>
    <xf numFmtId="0" fontId="0" fillId="4" borderId="6" xfId="0" applyFill="1" applyBorder="1" applyAlignment="1" applyProtection="1">
      <alignment horizontal="center" vertical="center" wrapText="1"/>
    </xf>
    <xf numFmtId="9" fontId="0" fillId="4" borderId="4" xfId="1" applyFont="1" applyFill="1" applyBorder="1" applyAlignment="1" applyProtection="1">
      <alignment horizontal="center" vertical="center"/>
    </xf>
    <xf numFmtId="9" fontId="0" fillId="4" borderId="6" xfId="1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4" borderId="23" xfId="0" applyFill="1" applyBorder="1" applyAlignment="1" applyProtection="1">
      <alignment horizontal="center" vertical="center"/>
    </xf>
    <xf numFmtId="0" fontId="0" fillId="4" borderId="28" xfId="0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8" borderId="45" xfId="0" applyFill="1" applyBorder="1" applyAlignment="1" applyProtection="1">
      <alignment horizontal="center" vertical="center"/>
    </xf>
    <xf numFmtId="0" fontId="0" fillId="8" borderId="46" xfId="0" applyFill="1" applyBorder="1" applyAlignment="1" applyProtection="1">
      <alignment horizontal="center" vertical="center"/>
    </xf>
    <xf numFmtId="9" fontId="0" fillId="4" borderId="9" xfId="1" applyFont="1" applyFill="1" applyBorder="1" applyAlignment="1" applyProtection="1">
      <alignment horizontal="center" vertical="center"/>
    </xf>
    <xf numFmtId="9" fontId="0" fillId="4" borderId="14" xfId="1" applyFont="1" applyFill="1" applyBorder="1" applyAlignment="1" applyProtection="1">
      <alignment horizontal="center" vertical="center"/>
    </xf>
    <xf numFmtId="9" fontId="0" fillId="4" borderId="10" xfId="1" applyFont="1" applyFill="1" applyBorder="1" applyAlignment="1" applyProtection="1">
      <alignment horizontal="center" vertical="center"/>
    </xf>
    <xf numFmtId="0" fontId="0" fillId="4" borderId="9" xfId="0" applyFill="1" applyBorder="1" applyAlignment="1" applyProtection="1">
      <alignment horizontal="center" vertical="center" wrapText="1"/>
    </xf>
    <xf numFmtId="0" fontId="0" fillId="4" borderId="14" xfId="0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24" xfId="0" applyFill="1" applyBorder="1" applyAlignment="1" applyProtection="1">
      <alignment horizontal="center" vertical="center" wrapText="1"/>
    </xf>
    <xf numFmtId="0" fontId="0" fillId="4" borderId="29" xfId="0" applyFill="1" applyBorder="1" applyAlignment="1" applyProtection="1">
      <alignment horizontal="center" vertical="center" wrapText="1"/>
    </xf>
    <xf numFmtId="9" fontId="0" fillId="4" borderId="24" xfId="1" applyFont="1" applyFill="1" applyBorder="1" applyAlignment="1" applyProtection="1">
      <alignment horizontal="center" vertical="center"/>
    </xf>
    <xf numFmtId="9" fontId="0" fillId="4" borderId="29" xfId="1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8" borderId="43" xfId="0" applyFill="1" applyBorder="1" applyAlignment="1" applyProtection="1">
      <alignment horizontal="center" vertical="center"/>
    </xf>
    <xf numFmtId="0" fontId="0" fillId="8" borderId="44" xfId="0" applyFill="1" applyBorder="1" applyAlignment="1" applyProtection="1">
      <alignment horizontal="center" vertical="center"/>
    </xf>
    <xf numFmtId="0" fontId="0" fillId="5" borderId="10" xfId="0" applyFill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1" fillId="5" borderId="12" xfId="0" applyFont="1" applyFill="1" applyBorder="1" applyAlignment="1" applyProtection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</xf>
    <xf numFmtId="2" fontId="1" fillId="5" borderId="13" xfId="0" applyNumberFormat="1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center"/>
      <protection locked="0"/>
    </xf>
    <xf numFmtId="0" fontId="1" fillId="0" borderId="34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 applyProtection="1">
      <alignment horizontal="center" vertical="center"/>
    </xf>
    <xf numFmtId="0" fontId="1" fillId="5" borderId="9" xfId="0" applyFont="1" applyFill="1" applyBorder="1" applyAlignment="1" applyProtection="1">
      <alignment horizontal="center" vertical="center"/>
    </xf>
    <xf numFmtId="0" fontId="1" fillId="5" borderId="15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0" fillId="4" borderId="19" xfId="0" applyFill="1" applyBorder="1" applyAlignment="1" applyProtection="1">
      <alignment horizontal="center" vertical="center"/>
    </xf>
    <xf numFmtId="0" fontId="0" fillId="4" borderId="30" xfId="0" applyFill="1" applyBorder="1" applyAlignment="1" applyProtection="1">
      <alignment horizontal="center" vertical="center"/>
    </xf>
    <xf numFmtId="0" fontId="0" fillId="4" borderId="34" xfId="0" applyFill="1" applyBorder="1" applyAlignment="1" applyProtection="1">
      <alignment horizontal="center" vertical="center"/>
    </xf>
    <xf numFmtId="0" fontId="0" fillId="4" borderId="31" xfId="0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1" fillId="0" borderId="35" xfId="0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 wrapText="1" readingOrder="2"/>
    </xf>
    <xf numFmtId="0" fontId="0" fillId="4" borderId="17" xfId="0" applyFill="1" applyBorder="1" applyAlignment="1" applyProtection="1">
      <alignment horizontal="center" vertical="center" wrapText="1" readingOrder="2"/>
    </xf>
    <xf numFmtId="0" fontId="0" fillId="4" borderId="20" xfId="0" applyFill="1" applyBorder="1" applyAlignment="1" applyProtection="1">
      <alignment horizontal="center" vertical="center"/>
    </xf>
    <xf numFmtId="0" fontId="0" fillId="4" borderId="21" xfId="0" applyFill="1" applyBorder="1" applyAlignment="1" applyProtection="1">
      <alignment horizontal="center" vertical="center"/>
    </xf>
    <xf numFmtId="0" fontId="0" fillId="4" borderId="22" xfId="0" applyFill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 wrapText="1"/>
    </xf>
    <xf numFmtId="0" fontId="0" fillId="4" borderId="17" xfId="0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6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ndense val="0"/>
        <extend val="0"/>
        <color rgb="FF9C0006"/>
      </font>
      <fill>
        <patternFill patternType="none">
          <bgColor auto="1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CCFF99"/>
      <color rgb="FFFFFFCC"/>
      <color rgb="FFCC99FF"/>
      <color rgb="FFCCCC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cs.gov.il/&#1514;&#1512;&#1489;&#1493;&#1514;%20&#1493;&#1505;&#1508;&#1493;&#1512;&#1496;/&#1505;&#1493;&#1508;&#1512;&#1497;&#1501;/&#1502;&#1508;&#1500;%20&#1510;&#1497;&#1493;&#1504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בדיקת תנאי סף"/>
      <sheetName val="בדיקת איכות"/>
      <sheetName val="בדיקת מחיר"/>
      <sheetName val="ציון סופי"/>
    </sheetNames>
    <sheetDataSet>
      <sheetData sheetId="0">
        <row r="2">
          <cell r="D2" t="str">
            <v>מציע מס' 1</v>
          </cell>
          <cell r="E2" t="str">
            <v>מציע מס' 2</v>
          </cell>
          <cell r="F2" t="str">
            <v>מציע מס' 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rightToLeft="1" tabSelected="1" zoomScale="70" zoomScaleNormal="70" workbookViewId="0">
      <selection activeCell="E5" sqref="E5"/>
    </sheetView>
  </sheetViews>
  <sheetFormatPr defaultColWidth="9" defaultRowHeight="14.25" x14ac:dyDescent="0.2"/>
  <cols>
    <col min="1" max="1" width="9" style="22"/>
    <col min="2" max="2" width="6.125" style="107" customWidth="1"/>
    <col min="3" max="3" width="48.125" style="22" customWidth="1"/>
    <col min="4" max="6" width="20.625" style="22" customWidth="1"/>
    <col min="7" max="16384" width="9" style="22"/>
  </cols>
  <sheetData>
    <row r="1" spans="2:6" ht="15" thickBot="1" x14ac:dyDescent="0.25"/>
    <row r="2" spans="2:6" ht="15" x14ac:dyDescent="0.25">
      <c r="B2" s="23" t="s">
        <v>2</v>
      </c>
      <c r="C2" s="24" t="s">
        <v>3</v>
      </c>
      <c r="D2" s="25" t="s">
        <v>4</v>
      </c>
      <c r="E2" s="25" t="s">
        <v>5</v>
      </c>
      <c r="F2" s="25" t="s">
        <v>6</v>
      </c>
    </row>
    <row r="3" spans="2:6" x14ac:dyDescent="0.2">
      <c r="B3" s="108" t="s">
        <v>7</v>
      </c>
      <c r="C3" s="26" t="s">
        <v>8</v>
      </c>
      <c r="D3" s="1"/>
      <c r="E3" s="1"/>
      <c r="F3" s="1"/>
    </row>
    <row r="4" spans="2:6" ht="57" x14ac:dyDescent="0.2">
      <c r="B4" s="108" t="s">
        <v>9</v>
      </c>
      <c r="C4" s="26" t="s">
        <v>10</v>
      </c>
      <c r="D4" s="1"/>
      <c r="E4" s="1"/>
      <c r="F4" s="1"/>
    </row>
    <row r="5" spans="2:6" ht="71.25" x14ac:dyDescent="0.2">
      <c r="B5" s="108" t="s">
        <v>11</v>
      </c>
      <c r="C5" s="26" t="s">
        <v>13</v>
      </c>
      <c r="D5" s="1"/>
      <c r="E5" s="1"/>
      <c r="F5" s="1"/>
    </row>
    <row r="6" spans="2:6" ht="42.75" x14ac:dyDescent="0.2">
      <c r="B6" s="108" t="s">
        <v>12</v>
      </c>
      <c r="C6" s="27" t="s">
        <v>79</v>
      </c>
      <c r="D6" s="1"/>
      <c r="E6" s="1"/>
      <c r="F6" s="1"/>
    </row>
    <row r="7" spans="2:6" ht="57" x14ac:dyDescent="0.2">
      <c r="B7" s="108" t="s">
        <v>14</v>
      </c>
      <c r="C7" s="103" t="s">
        <v>80</v>
      </c>
      <c r="D7" s="1"/>
      <c r="E7" s="1"/>
      <c r="F7" s="1"/>
    </row>
    <row r="8" spans="2:6" s="106" customFormat="1" ht="42.75" x14ac:dyDescent="0.2">
      <c r="B8" s="108" t="s">
        <v>82</v>
      </c>
      <c r="C8" s="104" t="s">
        <v>81</v>
      </c>
      <c r="D8" s="105"/>
      <c r="E8" s="105"/>
      <c r="F8" s="105"/>
    </row>
    <row r="9" spans="2:6" ht="57" x14ac:dyDescent="0.2">
      <c r="B9" s="108" t="s">
        <v>46</v>
      </c>
      <c r="C9" s="28" t="s">
        <v>83</v>
      </c>
      <c r="D9" s="1"/>
      <c r="E9" s="1"/>
      <c r="F9" s="1"/>
    </row>
    <row r="10" spans="2:6" ht="42.75" x14ac:dyDescent="0.2">
      <c r="B10" s="108" t="s">
        <v>84</v>
      </c>
      <c r="C10" s="104" t="s">
        <v>86</v>
      </c>
      <c r="D10" s="1"/>
      <c r="E10" s="1"/>
      <c r="F10" s="1"/>
    </row>
    <row r="11" spans="2:6" ht="28.5" x14ac:dyDescent="0.2">
      <c r="B11" s="108" t="s">
        <v>85</v>
      </c>
      <c r="C11" s="104" t="s">
        <v>87</v>
      </c>
      <c r="D11" s="1"/>
      <c r="E11" s="1"/>
      <c r="F11" s="1"/>
    </row>
    <row r="12" spans="2:6" x14ac:dyDescent="0.2">
      <c r="B12" s="108">
        <v>4.0999999999999996</v>
      </c>
      <c r="C12" s="26"/>
      <c r="D12" s="1"/>
      <c r="E12" s="1"/>
      <c r="F12" s="1"/>
    </row>
    <row r="13" spans="2:6" x14ac:dyDescent="0.2">
      <c r="B13" s="108">
        <v>4.2</v>
      </c>
      <c r="C13" s="26"/>
      <c r="D13" s="1"/>
      <c r="E13" s="1"/>
      <c r="F13" s="1"/>
    </row>
    <row r="14" spans="2:6" x14ac:dyDescent="0.2">
      <c r="B14" s="108">
        <v>4.3</v>
      </c>
      <c r="C14" s="26"/>
      <c r="D14" s="1"/>
      <c r="E14" s="1"/>
      <c r="F14" s="1"/>
    </row>
    <row r="15" spans="2:6" x14ac:dyDescent="0.2">
      <c r="B15" s="108">
        <v>4.4000000000000004</v>
      </c>
      <c r="C15" s="26"/>
      <c r="D15" s="1"/>
      <c r="E15" s="1"/>
      <c r="F15" s="1"/>
    </row>
    <row r="16" spans="2:6" x14ac:dyDescent="0.2">
      <c r="B16" s="108">
        <v>4.5</v>
      </c>
      <c r="C16" s="28"/>
      <c r="D16" s="1"/>
      <c r="E16" s="1"/>
      <c r="F16" s="1"/>
    </row>
    <row r="17" spans="2:6" x14ac:dyDescent="0.2">
      <c r="B17" s="108">
        <v>4.5999999999999996</v>
      </c>
      <c r="C17" s="28"/>
      <c r="D17" s="1"/>
      <c r="E17" s="1"/>
      <c r="F17" s="1"/>
    </row>
    <row r="18" spans="2:6" x14ac:dyDescent="0.2">
      <c r="B18" s="108">
        <v>4.7</v>
      </c>
      <c r="C18" s="26"/>
      <c r="D18" s="1"/>
      <c r="E18" s="1"/>
      <c r="F18" s="1"/>
    </row>
    <row r="19" spans="2:6" x14ac:dyDescent="0.2">
      <c r="B19" s="108">
        <v>4.8</v>
      </c>
      <c r="C19" s="26"/>
      <c r="D19" s="1"/>
      <c r="E19" s="1"/>
      <c r="F19" s="1"/>
    </row>
    <row r="20" spans="2:6" x14ac:dyDescent="0.2">
      <c r="B20" s="108">
        <v>4.9000000000000004</v>
      </c>
      <c r="C20" s="26"/>
      <c r="D20" s="1"/>
      <c r="E20" s="1"/>
      <c r="F20" s="1"/>
    </row>
    <row r="21" spans="2:6" x14ac:dyDescent="0.2">
      <c r="B21" s="109" t="s">
        <v>67</v>
      </c>
      <c r="C21" s="26"/>
      <c r="D21" s="1"/>
      <c r="E21" s="1"/>
      <c r="F21" s="1"/>
    </row>
    <row r="22" spans="2:6" x14ac:dyDescent="0.2">
      <c r="B22" s="108">
        <v>4.1100000000000003</v>
      </c>
      <c r="C22" s="26"/>
      <c r="D22" s="1"/>
      <c r="E22" s="1"/>
      <c r="F22" s="1"/>
    </row>
    <row r="23" spans="2:6" x14ac:dyDescent="0.2">
      <c r="B23" s="108">
        <v>4.12</v>
      </c>
      <c r="C23" s="26"/>
      <c r="D23" s="1"/>
      <c r="E23" s="1"/>
      <c r="F23" s="1"/>
    </row>
    <row r="24" spans="2:6" x14ac:dyDescent="0.2">
      <c r="B24" s="108">
        <v>4.13</v>
      </c>
      <c r="C24" s="26"/>
      <c r="D24" s="1"/>
      <c r="E24" s="1"/>
      <c r="F24" s="1"/>
    </row>
    <row r="25" spans="2:6" x14ac:dyDescent="0.2">
      <c r="B25" s="108">
        <v>4.1399999999999997</v>
      </c>
      <c r="C25" s="26"/>
      <c r="D25" s="1"/>
      <c r="E25" s="1"/>
      <c r="F25" s="1"/>
    </row>
    <row r="26" spans="2:6" x14ac:dyDescent="0.2">
      <c r="B26" s="108">
        <v>4.1500000000000004</v>
      </c>
      <c r="C26" s="26"/>
      <c r="D26" s="1"/>
      <c r="E26" s="1"/>
      <c r="F26" s="1"/>
    </row>
    <row r="27" spans="2:6" x14ac:dyDescent="0.2">
      <c r="B27" s="108">
        <v>4.16</v>
      </c>
      <c r="C27" s="26"/>
      <c r="D27" s="1"/>
      <c r="E27" s="1"/>
      <c r="F27" s="1"/>
    </row>
    <row r="28" spans="2:6" ht="15" thickBot="1" x14ac:dyDescent="0.25">
      <c r="B28" s="110">
        <v>4.17</v>
      </c>
      <c r="C28" s="29"/>
      <c r="D28" s="2"/>
      <c r="E28" s="2"/>
      <c r="F28" s="2"/>
    </row>
  </sheetData>
  <conditionalFormatting sqref="D3:F28">
    <cfRule type="cellIs" dxfId="5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  <ignoredErrors>
    <ignoredError sqref="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7"/>
  <sheetViews>
    <sheetView rightToLeft="1" topLeftCell="B1" zoomScale="60" zoomScaleNormal="60" workbookViewId="0">
      <selection activeCell="D17" sqref="D17"/>
    </sheetView>
  </sheetViews>
  <sheetFormatPr defaultColWidth="9" defaultRowHeight="14.25" x14ac:dyDescent="0.2"/>
  <cols>
    <col min="1" max="2" width="9" style="3"/>
    <col min="3" max="3" width="10.875" style="3" customWidth="1"/>
    <col min="4" max="4" width="23.125" style="3" customWidth="1"/>
    <col min="5" max="5" width="19.75" style="3" bestFit="1" customWidth="1"/>
    <col min="6" max="6" width="9" style="3"/>
    <col min="7" max="7" width="15.625" style="3" bestFit="1" customWidth="1"/>
    <col min="8" max="8" width="9" style="3"/>
    <col min="9" max="9" width="18" style="3" bestFit="1" customWidth="1"/>
    <col min="10" max="10" width="14.25" style="3" bestFit="1" customWidth="1"/>
    <col min="11" max="11" width="12.625" style="3" customWidth="1"/>
    <col min="12" max="12" width="18" style="3" bestFit="1" customWidth="1"/>
    <col min="13" max="13" width="14.25" style="3" customWidth="1"/>
    <col min="14" max="14" width="12.625" style="3" customWidth="1"/>
    <col min="15" max="15" width="18" style="3" bestFit="1" customWidth="1"/>
    <col min="16" max="16" width="14.25" style="3" customWidth="1"/>
    <col min="17" max="17" width="12.625" style="3" customWidth="1"/>
    <col min="18" max="16384" width="9" style="3"/>
  </cols>
  <sheetData>
    <row r="1" spans="2:17" ht="15" thickBot="1" x14ac:dyDescent="0.25"/>
    <row r="2" spans="2:17" ht="15" x14ac:dyDescent="0.2">
      <c r="B2" s="123" t="s">
        <v>15</v>
      </c>
      <c r="C2" s="124"/>
      <c r="D2" s="124"/>
      <c r="E2" s="124"/>
      <c r="F2" s="124"/>
      <c r="G2" s="124"/>
      <c r="H2" s="124"/>
      <c r="I2" s="114" t="str">
        <f>'תנאי סף'!D2</f>
        <v>מציע מס' 1</v>
      </c>
      <c r="J2" s="114"/>
      <c r="K2" s="114"/>
      <c r="L2" s="114" t="str">
        <f>'תנאי סף'!E2</f>
        <v>מציע מס' 2</v>
      </c>
      <c r="M2" s="114"/>
      <c r="N2" s="114"/>
      <c r="O2" s="114" t="str">
        <f>'תנאי סף'!F2</f>
        <v>מציע מס' 3</v>
      </c>
      <c r="P2" s="114"/>
      <c r="Q2" s="115"/>
    </row>
    <row r="3" spans="2:17" x14ac:dyDescent="0.2">
      <c r="B3" s="6" t="s">
        <v>2</v>
      </c>
      <c r="C3" s="53" t="s">
        <v>1</v>
      </c>
      <c r="D3" s="53" t="s">
        <v>16</v>
      </c>
      <c r="E3" s="116" t="s">
        <v>17</v>
      </c>
      <c r="F3" s="116"/>
      <c r="G3" s="53" t="s">
        <v>18</v>
      </c>
      <c r="H3" s="53" t="s">
        <v>0</v>
      </c>
      <c r="I3" s="53" t="s">
        <v>19</v>
      </c>
      <c r="J3" s="53" t="s">
        <v>20</v>
      </c>
      <c r="K3" s="53" t="s">
        <v>21</v>
      </c>
      <c r="L3" s="53" t="s">
        <v>19</v>
      </c>
      <c r="M3" s="53" t="s">
        <v>20</v>
      </c>
      <c r="N3" s="53" t="s">
        <v>21</v>
      </c>
      <c r="O3" s="53" t="s">
        <v>19</v>
      </c>
      <c r="P3" s="53" t="s">
        <v>20</v>
      </c>
      <c r="Q3" s="96" t="s">
        <v>21</v>
      </c>
    </row>
    <row r="4" spans="2:17" x14ac:dyDescent="0.2">
      <c r="B4" s="117" t="s">
        <v>49</v>
      </c>
      <c r="C4" s="119" t="s">
        <v>22</v>
      </c>
      <c r="D4" s="141" t="s">
        <v>47</v>
      </c>
      <c r="E4" s="46" t="s">
        <v>51</v>
      </c>
      <c r="F4" s="52">
        <v>40</v>
      </c>
      <c r="G4" s="138">
        <v>0.15</v>
      </c>
      <c r="H4" s="121">
        <v>0.3</v>
      </c>
      <c r="I4" s="125"/>
      <c r="J4" s="111" t="e">
        <f>LOOKUP(I4,$C$37:$C$40,$D$37:$D$40)</f>
        <v>#N/A</v>
      </c>
      <c r="K4" s="130" t="e">
        <f>SUMPRODUCT(J4:J22,$G$4:$G$22)*$H$4</f>
        <v>#N/A</v>
      </c>
      <c r="L4" s="125"/>
      <c r="M4" s="111" t="e">
        <f>LOOKUP(L4,$C$37:$C$40,$D$37:$D$40)</f>
        <v>#N/A</v>
      </c>
      <c r="N4" s="130" t="e">
        <f>SUMPRODUCT(M4:M22,$G$4:$G$22)*$H$4</f>
        <v>#N/A</v>
      </c>
      <c r="O4" s="125"/>
      <c r="P4" s="111" t="e">
        <f>LOOKUP(O4,$C$37:$C$40,$D$37:$D$40)</f>
        <v>#N/A</v>
      </c>
      <c r="Q4" s="128" t="e">
        <f>SUMPRODUCT(P4:P22,$G$4:$G$22)*$H$4</f>
        <v>#N/A</v>
      </c>
    </row>
    <row r="5" spans="2:17" x14ac:dyDescent="0.2">
      <c r="B5" s="117"/>
      <c r="C5" s="119"/>
      <c r="D5" s="142"/>
      <c r="E5" s="46" t="s">
        <v>43</v>
      </c>
      <c r="F5" s="52">
        <v>60</v>
      </c>
      <c r="G5" s="139"/>
      <c r="H5" s="121"/>
      <c r="I5" s="126"/>
      <c r="J5" s="112"/>
      <c r="K5" s="130"/>
      <c r="L5" s="126"/>
      <c r="M5" s="112"/>
      <c r="N5" s="130"/>
      <c r="O5" s="126"/>
      <c r="P5" s="112"/>
      <c r="Q5" s="128"/>
    </row>
    <row r="6" spans="2:17" x14ac:dyDescent="0.2">
      <c r="B6" s="117"/>
      <c r="C6" s="119"/>
      <c r="D6" s="142"/>
      <c r="E6" s="46" t="s">
        <v>44</v>
      </c>
      <c r="F6" s="52">
        <v>80</v>
      </c>
      <c r="G6" s="139"/>
      <c r="H6" s="121"/>
      <c r="I6" s="126"/>
      <c r="J6" s="112"/>
      <c r="K6" s="130"/>
      <c r="L6" s="126"/>
      <c r="M6" s="112"/>
      <c r="N6" s="130"/>
      <c r="O6" s="126"/>
      <c r="P6" s="112"/>
      <c r="Q6" s="128"/>
    </row>
    <row r="7" spans="2:17" x14ac:dyDescent="0.2">
      <c r="B7" s="117"/>
      <c r="C7" s="119"/>
      <c r="D7" s="143"/>
      <c r="E7" s="46" t="s">
        <v>45</v>
      </c>
      <c r="F7" s="52">
        <v>100</v>
      </c>
      <c r="G7" s="140"/>
      <c r="H7" s="121"/>
      <c r="I7" s="127"/>
      <c r="J7" s="113"/>
      <c r="K7" s="130"/>
      <c r="L7" s="127"/>
      <c r="M7" s="113"/>
      <c r="N7" s="130"/>
      <c r="O7" s="127"/>
      <c r="P7" s="113"/>
      <c r="Q7" s="128"/>
    </row>
    <row r="8" spans="2:17" x14ac:dyDescent="0.2">
      <c r="B8" s="117"/>
      <c r="C8" s="119"/>
      <c r="D8" s="141" t="s">
        <v>48</v>
      </c>
      <c r="E8" s="46" t="s">
        <v>39</v>
      </c>
      <c r="F8" s="52">
        <v>40</v>
      </c>
      <c r="G8" s="138">
        <v>0.2</v>
      </c>
      <c r="H8" s="121"/>
      <c r="I8" s="125"/>
      <c r="J8" s="111" t="e">
        <f>LOOKUP(I8,$C$44:$C$47,$D$44:$D$47)</f>
        <v>#N/A</v>
      </c>
      <c r="K8" s="130"/>
      <c r="L8" s="125"/>
      <c r="M8" s="111" t="e">
        <f>LOOKUP(L8,$C$44:$C$47,$D$44:$D$47)</f>
        <v>#N/A</v>
      </c>
      <c r="N8" s="130"/>
      <c r="O8" s="125"/>
      <c r="P8" s="111" t="e">
        <f>LOOKUP(O8,$C$44:$C$47,$D$44:$D$47)</f>
        <v>#N/A</v>
      </c>
      <c r="Q8" s="128"/>
    </row>
    <row r="9" spans="2:17" x14ac:dyDescent="0.2">
      <c r="B9" s="117"/>
      <c r="C9" s="119"/>
      <c r="D9" s="142"/>
      <c r="E9" s="46" t="s">
        <v>40</v>
      </c>
      <c r="F9" s="52">
        <v>60</v>
      </c>
      <c r="G9" s="139"/>
      <c r="H9" s="121"/>
      <c r="I9" s="126"/>
      <c r="J9" s="112"/>
      <c r="K9" s="130"/>
      <c r="L9" s="126"/>
      <c r="M9" s="112"/>
      <c r="N9" s="130"/>
      <c r="O9" s="126"/>
      <c r="P9" s="112"/>
      <c r="Q9" s="128"/>
    </row>
    <row r="10" spans="2:17" x14ac:dyDescent="0.2">
      <c r="B10" s="117"/>
      <c r="C10" s="119"/>
      <c r="D10" s="142"/>
      <c r="E10" s="46" t="s">
        <v>41</v>
      </c>
      <c r="F10" s="52">
        <v>80</v>
      </c>
      <c r="G10" s="139"/>
      <c r="H10" s="121"/>
      <c r="I10" s="126"/>
      <c r="J10" s="112"/>
      <c r="K10" s="130"/>
      <c r="L10" s="126"/>
      <c r="M10" s="112"/>
      <c r="N10" s="130"/>
      <c r="O10" s="126"/>
      <c r="P10" s="112"/>
      <c r="Q10" s="128"/>
    </row>
    <row r="11" spans="2:17" x14ac:dyDescent="0.2">
      <c r="B11" s="117"/>
      <c r="C11" s="119"/>
      <c r="D11" s="143"/>
      <c r="E11" s="46" t="s">
        <v>42</v>
      </c>
      <c r="F11" s="52">
        <v>100</v>
      </c>
      <c r="G11" s="140"/>
      <c r="H11" s="121"/>
      <c r="I11" s="127"/>
      <c r="J11" s="113"/>
      <c r="K11" s="130"/>
      <c r="L11" s="127"/>
      <c r="M11" s="113"/>
      <c r="N11" s="130"/>
      <c r="O11" s="127"/>
      <c r="P11" s="113"/>
      <c r="Q11" s="128"/>
    </row>
    <row r="12" spans="2:17" s="30" customFormat="1" ht="57" x14ac:dyDescent="0.2">
      <c r="B12" s="117"/>
      <c r="C12" s="119"/>
      <c r="D12" s="54" t="s">
        <v>78</v>
      </c>
      <c r="E12" s="173" t="s">
        <v>33</v>
      </c>
      <c r="F12" s="174"/>
      <c r="G12" s="48">
        <v>0.2</v>
      </c>
      <c r="H12" s="121"/>
      <c r="I12" s="49"/>
      <c r="J12" s="4" t="e">
        <f>I12/MAX($I12,$L12,$O12)*100</f>
        <v>#DIV/0!</v>
      </c>
      <c r="K12" s="130"/>
      <c r="L12" s="49"/>
      <c r="M12" s="4" t="e">
        <f>L12/MAX($I12,$L12,$O12)*100</f>
        <v>#DIV/0!</v>
      </c>
      <c r="N12" s="130"/>
      <c r="O12" s="49"/>
      <c r="P12" s="4" t="e">
        <f>O12/MAX($I12,$L12,$O12)*100</f>
        <v>#DIV/0!</v>
      </c>
      <c r="Q12" s="128"/>
    </row>
    <row r="13" spans="2:17" x14ac:dyDescent="0.2">
      <c r="B13" s="117"/>
      <c r="C13" s="119"/>
      <c r="D13" s="119" t="s">
        <v>88</v>
      </c>
      <c r="E13" s="46" t="s">
        <v>53</v>
      </c>
      <c r="F13" s="52">
        <v>40</v>
      </c>
      <c r="G13" s="121">
        <v>0.2</v>
      </c>
      <c r="H13" s="121"/>
      <c r="I13" s="125"/>
      <c r="J13" s="111" t="e">
        <f>LOOKUP(I13,$C$44:$C$47,$D$44:$D$47)</f>
        <v>#N/A</v>
      </c>
      <c r="K13" s="130"/>
      <c r="L13" s="125"/>
      <c r="M13" s="111" t="e">
        <f>LOOKUP(L13,$C$44:$C$47,$D$44:$D$47)</f>
        <v>#N/A</v>
      </c>
      <c r="N13" s="130"/>
      <c r="O13" s="125"/>
      <c r="P13" s="111" t="e">
        <f>LOOKUP(O13,$C$44:$C$47,$D$44:$D$47)</f>
        <v>#N/A</v>
      </c>
      <c r="Q13" s="128"/>
    </row>
    <row r="14" spans="2:17" x14ac:dyDescent="0.2">
      <c r="B14" s="117"/>
      <c r="C14" s="119"/>
      <c r="D14" s="119"/>
      <c r="E14" s="46" t="s">
        <v>40</v>
      </c>
      <c r="F14" s="52">
        <v>60</v>
      </c>
      <c r="G14" s="121"/>
      <c r="H14" s="121"/>
      <c r="I14" s="126"/>
      <c r="J14" s="112"/>
      <c r="K14" s="130"/>
      <c r="L14" s="126"/>
      <c r="M14" s="112"/>
      <c r="N14" s="130"/>
      <c r="O14" s="126"/>
      <c r="P14" s="112"/>
      <c r="Q14" s="128"/>
    </row>
    <row r="15" spans="2:17" x14ac:dyDescent="0.2">
      <c r="B15" s="117"/>
      <c r="C15" s="119"/>
      <c r="D15" s="119"/>
      <c r="E15" s="46" t="s">
        <v>41</v>
      </c>
      <c r="F15" s="52">
        <v>80</v>
      </c>
      <c r="G15" s="121"/>
      <c r="H15" s="121"/>
      <c r="I15" s="126"/>
      <c r="J15" s="112"/>
      <c r="K15" s="130"/>
      <c r="L15" s="126"/>
      <c r="M15" s="112"/>
      <c r="N15" s="130"/>
      <c r="O15" s="126"/>
      <c r="P15" s="112"/>
      <c r="Q15" s="128"/>
    </row>
    <row r="16" spans="2:17" x14ac:dyDescent="0.2">
      <c r="B16" s="117"/>
      <c r="C16" s="119"/>
      <c r="D16" s="119"/>
      <c r="E16" s="46" t="s">
        <v>42</v>
      </c>
      <c r="F16" s="52">
        <v>100</v>
      </c>
      <c r="G16" s="121"/>
      <c r="H16" s="121"/>
      <c r="I16" s="127"/>
      <c r="J16" s="113"/>
      <c r="K16" s="130"/>
      <c r="L16" s="127"/>
      <c r="M16" s="113"/>
      <c r="N16" s="130"/>
      <c r="O16" s="127"/>
      <c r="P16" s="113"/>
      <c r="Q16" s="128"/>
    </row>
    <row r="17" spans="2:17" ht="28.5" x14ac:dyDescent="0.2">
      <c r="B17" s="117"/>
      <c r="C17" s="119"/>
      <c r="D17" s="47" t="s">
        <v>50</v>
      </c>
      <c r="E17" s="179" t="s">
        <v>33</v>
      </c>
      <c r="F17" s="180"/>
      <c r="G17" s="50">
        <v>0.15</v>
      </c>
      <c r="H17" s="121"/>
      <c r="I17" s="51"/>
      <c r="J17" s="4" t="e">
        <f>I17/MAX($I17,$L17,$O17)*100</f>
        <v>#DIV/0!</v>
      </c>
      <c r="K17" s="130"/>
      <c r="L17" s="51"/>
      <c r="M17" s="4" t="e">
        <f>L17/MAX($I17,$L17,$O17)*100</f>
        <v>#DIV/0!</v>
      </c>
      <c r="N17" s="130"/>
      <c r="O17" s="51"/>
      <c r="P17" s="4" t="e">
        <f>O17/MAX($I17,$L17,$O17)*100</f>
        <v>#DIV/0!</v>
      </c>
      <c r="Q17" s="128"/>
    </row>
    <row r="18" spans="2:17" x14ac:dyDescent="0.2">
      <c r="B18" s="117"/>
      <c r="C18" s="119"/>
      <c r="D18" s="119" t="s">
        <v>31</v>
      </c>
      <c r="E18" s="5" t="s">
        <v>23</v>
      </c>
      <c r="F18" s="5">
        <v>20</v>
      </c>
      <c r="G18" s="121">
        <v>0.1</v>
      </c>
      <c r="H18" s="121"/>
      <c r="I18" s="134"/>
      <c r="J18" s="130" t="e">
        <f>VLOOKUP(I18,$E$18:$F$22,2,FALSE)</f>
        <v>#N/A</v>
      </c>
      <c r="K18" s="130"/>
      <c r="L18" s="125"/>
      <c r="M18" s="130" t="e">
        <f>VLOOKUP(L18,$E$18:$F$22,2,FALSE)</f>
        <v>#N/A</v>
      </c>
      <c r="N18" s="130"/>
      <c r="O18" s="134"/>
      <c r="P18" s="130" t="e">
        <f>VLOOKUP(O18,$E$18:$F$22,2,FALSE)</f>
        <v>#N/A</v>
      </c>
      <c r="Q18" s="128"/>
    </row>
    <row r="19" spans="2:17" x14ac:dyDescent="0.2">
      <c r="B19" s="117"/>
      <c r="C19" s="119"/>
      <c r="D19" s="119"/>
      <c r="E19" s="5" t="s">
        <v>24</v>
      </c>
      <c r="F19" s="5">
        <v>40</v>
      </c>
      <c r="G19" s="121"/>
      <c r="H19" s="121"/>
      <c r="I19" s="134"/>
      <c r="J19" s="130"/>
      <c r="K19" s="130"/>
      <c r="L19" s="126"/>
      <c r="M19" s="130"/>
      <c r="N19" s="130"/>
      <c r="O19" s="134"/>
      <c r="P19" s="130"/>
      <c r="Q19" s="128"/>
    </row>
    <row r="20" spans="2:17" x14ac:dyDescent="0.2">
      <c r="B20" s="117"/>
      <c r="C20" s="119"/>
      <c r="D20" s="119"/>
      <c r="E20" s="5" t="s">
        <v>25</v>
      </c>
      <c r="F20" s="5">
        <v>70</v>
      </c>
      <c r="G20" s="121"/>
      <c r="H20" s="121"/>
      <c r="I20" s="134"/>
      <c r="J20" s="130"/>
      <c r="K20" s="130"/>
      <c r="L20" s="126"/>
      <c r="M20" s="130"/>
      <c r="N20" s="130"/>
      <c r="O20" s="134"/>
      <c r="P20" s="130"/>
      <c r="Q20" s="128"/>
    </row>
    <row r="21" spans="2:17" x14ac:dyDescent="0.2">
      <c r="B21" s="117"/>
      <c r="C21" s="119"/>
      <c r="D21" s="119"/>
      <c r="E21" s="5" t="s">
        <v>26</v>
      </c>
      <c r="F21" s="5">
        <v>90</v>
      </c>
      <c r="G21" s="121"/>
      <c r="H21" s="121"/>
      <c r="I21" s="134"/>
      <c r="J21" s="130"/>
      <c r="K21" s="130"/>
      <c r="L21" s="126"/>
      <c r="M21" s="130"/>
      <c r="N21" s="130"/>
      <c r="O21" s="134"/>
      <c r="P21" s="130"/>
      <c r="Q21" s="128"/>
    </row>
    <row r="22" spans="2:17" ht="15" thickBot="1" x14ac:dyDescent="0.25">
      <c r="B22" s="118"/>
      <c r="C22" s="120"/>
      <c r="D22" s="120"/>
      <c r="E22" s="97" t="s">
        <v>27</v>
      </c>
      <c r="F22" s="97">
        <v>100</v>
      </c>
      <c r="G22" s="122"/>
      <c r="H22" s="122"/>
      <c r="I22" s="135"/>
      <c r="J22" s="131"/>
      <c r="K22" s="131"/>
      <c r="L22" s="178"/>
      <c r="M22" s="131"/>
      <c r="N22" s="131"/>
      <c r="O22" s="135"/>
      <c r="P22" s="131"/>
      <c r="Q22" s="129"/>
    </row>
    <row r="23" spans="2:17" ht="48.75" customHeight="1" x14ac:dyDescent="0.2">
      <c r="B23" s="132" t="s">
        <v>54</v>
      </c>
      <c r="C23" s="144" t="s">
        <v>55</v>
      </c>
      <c r="D23" s="60" t="s">
        <v>70</v>
      </c>
      <c r="E23" s="61" t="s">
        <v>72</v>
      </c>
      <c r="F23" s="62" t="str">
        <f ca="1">CELL("address",F36)</f>
        <v>$F$36</v>
      </c>
      <c r="G23" s="63">
        <v>0.6</v>
      </c>
      <c r="H23" s="146">
        <v>0.3</v>
      </c>
      <c r="I23" s="64"/>
      <c r="J23" s="65" t="e">
        <f>VLOOKUP(I23,$F$36:$I$44,4)*10</f>
        <v>#N/A</v>
      </c>
      <c r="K23" s="148" t="e">
        <f>SUMPRODUCT(J23:J24,$G$23:$G$24)*H23</f>
        <v>#N/A</v>
      </c>
      <c r="L23" s="64"/>
      <c r="M23" s="66" t="str">
        <f>IF(L23&gt;=15,100,IF(L23&lt;5,"לא תקין",(L23-5)*10))</f>
        <v>לא תקין</v>
      </c>
      <c r="N23" s="148" t="e">
        <f>SUMPRODUCT(M23:M24,$G$23:$G$24)*K23</f>
        <v>#N/A</v>
      </c>
      <c r="O23" s="64"/>
      <c r="P23" s="66" t="str">
        <f>IF(O23&gt;=15,100,IF(O23&lt;5,"לא תקין",(O23-5)*10))</f>
        <v>לא תקין</v>
      </c>
      <c r="Q23" s="170" t="e">
        <f>SUMPRODUCT(P23:P24,$G$23:$G$24)*N23</f>
        <v>#N/A</v>
      </c>
    </row>
    <row r="24" spans="2:17" s="40" customFormat="1" ht="57.75" thickBot="1" x14ac:dyDescent="0.25">
      <c r="B24" s="133"/>
      <c r="C24" s="145"/>
      <c r="D24" s="67" t="s">
        <v>69</v>
      </c>
      <c r="E24" s="68" t="s">
        <v>72</v>
      </c>
      <c r="F24" s="98" t="str">
        <f ca="1">CELL("address",K36)</f>
        <v>$K$36</v>
      </c>
      <c r="G24" s="69">
        <v>0.4</v>
      </c>
      <c r="H24" s="147"/>
      <c r="I24" s="70"/>
      <c r="J24" s="71" t="e">
        <f>VLOOKUP(I24,$K$36:$N$44,4)*10</f>
        <v>#N/A</v>
      </c>
      <c r="K24" s="149"/>
      <c r="L24" s="70"/>
      <c r="M24" s="72" t="str">
        <f>IF(L24&gt;=13,100,IF(L24&lt;3,"לא תקין",(L24-3)*10))</f>
        <v>לא תקין</v>
      </c>
      <c r="N24" s="149"/>
      <c r="O24" s="70"/>
      <c r="P24" s="72" t="str">
        <f>IF(O24&gt;=13,100,IF(O24&lt;3,"לא תקין",(O24-3)*10))</f>
        <v>לא תקין</v>
      </c>
      <c r="Q24" s="171"/>
    </row>
    <row r="25" spans="2:17" ht="28.5" customHeight="1" x14ac:dyDescent="0.2">
      <c r="B25" s="166" t="s">
        <v>56</v>
      </c>
      <c r="C25" s="142" t="s">
        <v>32</v>
      </c>
      <c r="D25" s="142" t="s">
        <v>68</v>
      </c>
      <c r="E25" s="175" t="s">
        <v>34</v>
      </c>
      <c r="F25" s="176"/>
      <c r="G25" s="177"/>
      <c r="H25" s="48">
        <v>0.4</v>
      </c>
      <c r="I25" s="49"/>
      <c r="J25" s="45">
        <f>I25</f>
        <v>0</v>
      </c>
      <c r="K25" s="59">
        <f>J25*$H$25</f>
        <v>0</v>
      </c>
      <c r="L25" s="49"/>
      <c r="M25" s="45">
        <f>L25</f>
        <v>0</v>
      </c>
      <c r="N25" s="59">
        <f>M25*$H$25</f>
        <v>0</v>
      </c>
      <c r="O25" s="49"/>
      <c r="P25" s="45">
        <f>O25</f>
        <v>0</v>
      </c>
      <c r="Q25" s="74">
        <f>P25*$H$25</f>
        <v>0</v>
      </c>
    </row>
    <row r="26" spans="2:17" s="30" customFormat="1" ht="15.75" thickBot="1" x14ac:dyDescent="0.25">
      <c r="B26" s="133"/>
      <c r="C26" s="145"/>
      <c r="D26" s="145"/>
      <c r="E26" s="167" t="s">
        <v>57</v>
      </c>
      <c r="F26" s="168"/>
      <c r="G26" s="169"/>
      <c r="H26" s="75"/>
      <c r="I26" s="159" t="str">
        <f>IF(J25&gt;=80,"עבר ציון מינימום ראיון","לא עובר ציון מינימום ראיון")</f>
        <v>לא עובר ציון מינימום ראיון</v>
      </c>
      <c r="J26" s="160"/>
      <c r="K26" s="161"/>
      <c r="L26" s="159" t="str">
        <f>IF(M25&gt;=80,"עבר ציון מינימום ראיון","לא עובר ציון מינימום ראיון")</f>
        <v>לא עובר ציון מינימום ראיון</v>
      </c>
      <c r="M26" s="160"/>
      <c r="N26" s="161"/>
      <c r="O26" s="159" t="str">
        <f>IF(P25&gt;=80,"עבר ציון מינימום ראיון","לא עובר ציון מינימום ראיון")</f>
        <v>לא עובר ציון מינימום ראיון</v>
      </c>
      <c r="P26" s="160"/>
      <c r="Q26" s="172"/>
    </row>
    <row r="27" spans="2:17" ht="15" x14ac:dyDescent="0.2">
      <c r="B27" s="164" t="s">
        <v>28</v>
      </c>
      <c r="C27" s="165"/>
      <c r="D27" s="165"/>
      <c r="E27" s="165"/>
      <c r="F27" s="165"/>
      <c r="G27" s="165"/>
      <c r="H27" s="73">
        <f>SUM(H4:H25)</f>
        <v>1</v>
      </c>
      <c r="I27" s="152" t="e">
        <f>SUM(K4:K25)</f>
        <v>#N/A</v>
      </c>
      <c r="J27" s="152"/>
      <c r="K27" s="152"/>
      <c r="L27" s="152" t="e">
        <f>SUM(N4:N25)</f>
        <v>#N/A</v>
      </c>
      <c r="M27" s="152"/>
      <c r="N27" s="152"/>
      <c r="O27" s="152" t="e">
        <f>SUM(Q4:Q25)</f>
        <v>#N/A</v>
      </c>
      <c r="P27" s="152"/>
      <c r="Q27" s="152"/>
    </row>
    <row r="28" spans="2:17" ht="15.75" thickBot="1" x14ac:dyDescent="0.25">
      <c r="B28" s="162" t="s">
        <v>29</v>
      </c>
      <c r="C28" s="163"/>
      <c r="D28" s="163"/>
      <c r="E28" s="163"/>
      <c r="F28" s="163"/>
      <c r="G28" s="163"/>
      <c r="H28" s="7">
        <v>75</v>
      </c>
      <c r="I28" s="163" t="e">
        <f>IF(I27&gt;=$H$28,"עבר את סף האיכות","לא עבר את סף האיכות")</f>
        <v>#N/A</v>
      </c>
      <c r="J28" s="163"/>
      <c r="K28" s="163"/>
      <c r="L28" s="163" t="e">
        <f>IF(L27&gt;=$H$28,"עבר את סף האיכות","לא עבר את סף האיכות")</f>
        <v>#N/A</v>
      </c>
      <c r="M28" s="163"/>
      <c r="N28" s="163"/>
      <c r="O28" s="163" t="e">
        <f>IF(O27&gt;=$H$28,"עבר את סף האיכות","לא עבר את סף האיכות")</f>
        <v>#N/A</v>
      </c>
      <c r="P28" s="163"/>
      <c r="Q28" s="163"/>
    </row>
    <row r="29" spans="2:17" ht="15.75" thickBot="1" x14ac:dyDescent="0.25">
      <c r="B29" s="156" t="s">
        <v>30</v>
      </c>
      <c r="C29" s="157"/>
      <c r="D29" s="157"/>
      <c r="E29" s="157"/>
      <c r="F29" s="157"/>
      <c r="G29" s="157"/>
      <c r="H29" s="157"/>
      <c r="I29" s="158" t="e">
        <f>I27/MAX($I$27:$Q$27)*100</f>
        <v>#N/A</v>
      </c>
      <c r="J29" s="158"/>
      <c r="K29" s="158"/>
      <c r="L29" s="157" t="e">
        <f>L27/MAX($I$27:$Q$27)*100</f>
        <v>#N/A</v>
      </c>
      <c r="M29" s="157"/>
      <c r="N29" s="157"/>
      <c r="O29" s="157" t="e">
        <f>O27/MAX($I$27:$Q$27)*100</f>
        <v>#N/A</v>
      </c>
      <c r="P29" s="157"/>
      <c r="Q29" s="157"/>
    </row>
    <row r="34" spans="3:14" ht="15" thickBot="1" x14ac:dyDescent="0.25">
      <c r="E34" s="21"/>
      <c r="G34" s="21"/>
    </row>
    <row r="35" spans="3:14" ht="15" thickBot="1" x14ac:dyDescent="0.25">
      <c r="E35" s="21"/>
      <c r="F35" s="153" t="s">
        <v>76</v>
      </c>
      <c r="G35" s="154"/>
      <c r="H35" s="154"/>
      <c r="I35" s="155"/>
      <c r="K35" s="153" t="s">
        <v>77</v>
      </c>
      <c r="L35" s="154"/>
      <c r="M35" s="154"/>
      <c r="N35" s="155"/>
    </row>
    <row r="36" spans="3:14" ht="30.75" thickBot="1" x14ac:dyDescent="0.25">
      <c r="C36" s="150" t="s">
        <v>52</v>
      </c>
      <c r="D36" s="151"/>
      <c r="E36" s="21"/>
      <c r="F36" s="89" t="s">
        <v>73</v>
      </c>
      <c r="G36" s="90" t="s">
        <v>74</v>
      </c>
      <c r="H36" s="90" t="s">
        <v>75</v>
      </c>
      <c r="I36" s="91"/>
      <c r="K36" s="94" t="s">
        <v>73</v>
      </c>
      <c r="L36" s="95" t="s">
        <v>74</v>
      </c>
      <c r="M36" s="95" t="s">
        <v>75</v>
      </c>
      <c r="N36" s="91"/>
    </row>
    <row r="37" spans="3:14" x14ac:dyDescent="0.2">
      <c r="C37" s="99">
        <v>1</v>
      </c>
      <c r="D37" s="100">
        <v>40</v>
      </c>
      <c r="E37" s="21"/>
      <c r="F37" s="86">
        <v>3</v>
      </c>
      <c r="G37" s="87">
        <v>0</v>
      </c>
      <c r="H37" s="88">
        <v>0</v>
      </c>
      <c r="I37" s="77">
        <f>G37/6</f>
        <v>0</v>
      </c>
      <c r="K37" s="92">
        <v>3</v>
      </c>
      <c r="L37" s="93">
        <v>0</v>
      </c>
      <c r="M37" s="88">
        <v>0</v>
      </c>
      <c r="N37" s="77">
        <f>L37/4</f>
        <v>0</v>
      </c>
    </row>
    <row r="38" spans="3:14" x14ac:dyDescent="0.2">
      <c r="C38" s="99">
        <v>11</v>
      </c>
      <c r="D38" s="100">
        <v>60</v>
      </c>
      <c r="E38" s="21"/>
      <c r="F38" s="82">
        <v>4</v>
      </c>
      <c r="G38" s="55">
        <v>10</v>
      </c>
      <c r="H38" s="56">
        <v>3</v>
      </c>
      <c r="I38" s="77">
        <f t="shared" ref="I38:I44" si="0">G38/6</f>
        <v>1.6666666666666667</v>
      </c>
      <c r="K38" s="76">
        <v>4</v>
      </c>
      <c r="L38" s="58">
        <v>7</v>
      </c>
      <c r="M38" s="57">
        <v>2.1</v>
      </c>
      <c r="N38" s="77">
        <f t="shared" ref="N38:N44" si="1">L38/4</f>
        <v>1.75</v>
      </c>
    </row>
    <row r="39" spans="3:14" x14ac:dyDescent="0.2">
      <c r="C39" s="99">
        <v>21</v>
      </c>
      <c r="D39" s="100">
        <v>80</v>
      </c>
      <c r="F39" s="82">
        <v>5</v>
      </c>
      <c r="G39" s="55">
        <v>20</v>
      </c>
      <c r="H39" s="56">
        <v>6</v>
      </c>
      <c r="I39" s="77">
        <f t="shared" si="0"/>
        <v>3.3333333333333335</v>
      </c>
      <c r="K39" s="76">
        <v>5</v>
      </c>
      <c r="L39" s="58">
        <v>14</v>
      </c>
      <c r="M39" s="57">
        <v>4.2</v>
      </c>
      <c r="N39" s="77">
        <f t="shared" si="1"/>
        <v>3.5</v>
      </c>
    </row>
    <row r="40" spans="3:14" x14ac:dyDescent="0.2">
      <c r="C40" s="99">
        <v>31</v>
      </c>
      <c r="D40" s="100">
        <v>100</v>
      </c>
      <c r="F40" s="82">
        <v>6</v>
      </c>
      <c r="G40" s="55">
        <v>30</v>
      </c>
      <c r="H40" s="56">
        <v>9</v>
      </c>
      <c r="I40" s="77">
        <f t="shared" si="0"/>
        <v>5</v>
      </c>
      <c r="K40" s="76">
        <v>6</v>
      </c>
      <c r="L40" s="58">
        <v>21</v>
      </c>
      <c r="M40" s="57">
        <v>6.3</v>
      </c>
      <c r="N40" s="77">
        <f t="shared" si="1"/>
        <v>5.25</v>
      </c>
    </row>
    <row r="41" spans="3:14" x14ac:dyDescent="0.2">
      <c r="C41" s="99"/>
      <c r="D41" s="100"/>
      <c r="F41" s="82">
        <v>7</v>
      </c>
      <c r="G41" s="55">
        <v>40</v>
      </c>
      <c r="H41" s="56">
        <v>12</v>
      </c>
      <c r="I41" s="77">
        <f t="shared" si="0"/>
        <v>6.666666666666667</v>
      </c>
      <c r="K41" s="76">
        <v>7</v>
      </c>
      <c r="L41" s="58">
        <v>28</v>
      </c>
      <c r="M41" s="57">
        <v>8.4</v>
      </c>
      <c r="N41" s="77">
        <f t="shared" si="1"/>
        <v>7</v>
      </c>
    </row>
    <row r="42" spans="3:14" x14ac:dyDescent="0.2">
      <c r="C42" s="99"/>
      <c r="D42" s="100"/>
      <c r="F42" s="82">
        <v>8</v>
      </c>
      <c r="G42" s="55">
        <v>50</v>
      </c>
      <c r="H42" s="56">
        <v>15</v>
      </c>
      <c r="I42" s="77">
        <f t="shared" si="0"/>
        <v>8.3333333333333339</v>
      </c>
      <c r="K42" s="76">
        <v>8</v>
      </c>
      <c r="L42" s="58">
        <v>35</v>
      </c>
      <c r="M42" s="57">
        <v>10.5</v>
      </c>
      <c r="N42" s="77">
        <f t="shared" si="1"/>
        <v>8.75</v>
      </c>
    </row>
    <row r="43" spans="3:14" x14ac:dyDescent="0.2">
      <c r="C43" s="136" t="s">
        <v>52</v>
      </c>
      <c r="D43" s="137"/>
      <c r="F43" s="82">
        <v>9</v>
      </c>
      <c r="G43" s="55">
        <v>55</v>
      </c>
      <c r="H43" s="56">
        <v>16.5</v>
      </c>
      <c r="I43" s="77">
        <f t="shared" si="0"/>
        <v>9.1666666666666661</v>
      </c>
      <c r="K43" s="76">
        <v>9</v>
      </c>
      <c r="L43" s="58">
        <v>38</v>
      </c>
      <c r="M43" s="57">
        <v>11.4</v>
      </c>
      <c r="N43" s="77">
        <f t="shared" si="1"/>
        <v>9.5</v>
      </c>
    </row>
    <row r="44" spans="3:14" ht="15" thickBot="1" x14ac:dyDescent="0.25">
      <c r="C44" s="99">
        <v>3</v>
      </c>
      <c r="D44" s="100">
        <v>40</v>
      </c>
      <c r="F44" s="83">
        <v>10</v>
      </c>
      <c r="G44" s="84">
        <v>60</v>
      </c>
      <c r="H44" s="85">
        <v>18</v>
      </c>
      <c r="I44" s="81">
        <f t="shared" si="0"/>
        <v>10</v>
      </c>
      <c r="K44" s="78">
        <v>10</v>
      </c>
      <c r="L44" s="79">
        <v>40</v>
      </c>
      <c r="M44" s="80">
        <v>12</v>
      </c>
      <c r="N44" s="81">
        <f t="shared" si="1"/>
        <v>10</v>
      </c>
    </row>
    <row r="45" spans="3:14" x14ac:dyDescent="0.2">
      <c r="C45" s="99">
        <v>6</v>
      </c>
      <c r="D45" s="100">
        <v>60</v>
      </c>
    </row>
    <row r="46" spans="3:14" x14ac:dyDescent="0.2">
      <c r="C46" s="99">
        <v>11</v>
      </c>
      <c r="D46" s="100">
        <v>80</v>
      </c>
    </row>
    <row r="47" spans="3:14" ht="15" thickBot="1" x14ac:dyDescent="0.25">
      <c r="C47" s="101">
        <v>16</v>
      </c>
      <c r="D47" s="102">
        <v>100</v>
      </c>
    </row>
  </sheetData>
  <mergeCells count="75">
    <mergeCell ref="Q23:Q24"/>
    <mergeCell ref="O26:Q26"/>
    <mergeCell ref="E12:F12"/>
    <mergeCell ref="E25:G25"/>
    <mergeCell ref="O29:Q29"/>
    <mergeCell ref="O28:Q28"/>
    <mergeCell ref="L27:N27"/>
    <mergeCell ref="O27:Q27"/>
    <mergeCell ref="O18:O22"/>
    <mergeCell ref="P18:P22"/>
    <mergeCell ref="J13:J16"/>
    <mergeCell ref="L13:L16"/>
    <mergeCell ref="L18:L22"/>
    <mergeCell ref="G13:G16"/>
    <mergeCell ref="I13:I16"/>
    <mergeCell ref="E17:F17"/>
    <mergeCell ref="L26:N26"/>
    <mergeCell ref="N23:N24"/>
    <mergeCell ref="B28:G28"/>
    <mergeCell ref="I28:K28"/>
    <mergeCell ref="L28:N28"/>
    <mergeCell ref="B27:G27"/>
    <mergeCell ref="B25:B26"/>
    <mergeCell ref="C25:C26"/>
    <mergeCell ref="D25:D26"/>
    <mergeCell ref="E26:G26"/>
    <mergeCell ref="I26:K26"/>
    <mergeCell ref="C36:D36"/>
    <mergeCell ref="I27:K27"/>
    <mergeCell ref="F35:I35"/>
    <mergeCell ref="K35:N35"/>
    <mergeCell ref="B29:H29"/>
    <mergeCell ref="I29:K29"/>
    <mergeCell ref="L29:N29"/>
    <mergeCell ref="C43:D43"/>
    <mergeCell ref="O4:O7"/>
    <mergeCell ref="P4:P7"/>
    <mergeCell ref="G4:G7"/>
    <mergeCell ref="D8:D11"/>
    <mergeCell ref="G8:G11"/>
    <mergeCell ref="J8:J11"/>
    <mergeCell ref="I8:I11"/>
    <mergeCell ref="L8:L11"/>
    <mergeCell ref="M8:M11"/>
    <mergeCell ref="O8:O11"/>
    <mergeCell ref="P8:P11"/>
    <mergeCell ref="D4:D7"/>
    <mergeCell ref="I4:I7"/>
    <mergeCell ref="J4:J7"/>
    <mergeCell ref="L4:L7"/>
    <mergeCell ref="B23:B24"/>
    <mergeCell ref="G18:G22"/>
    <mergeCell ref="I18:I22"/>
    <mergeCell ref="J18:J22"/>
    <mergeCell ref="I2:K2"/>
    <mergeCell ref="D18:D22"/>
    <mergeCell ref="C23:C24"/>
    <mergeCell ref="H23:H24"/>
    <mergeCell ref="K23:K24"/>
    <mergeCell ref="M4:M7"/>
    <mergeCell ref="L2:N2"/>
    <mergeCell ref="O2:Q2"/>
    <mergeCell ref="E3:F3"/>
    <mergeCell ref="B4:B22"/>
    <mergeCell ref="C4:C22"/>
    <mergeCell ref="H4:H22"/>
    <mergeCell ref="B2:H2"/>
    <mergeCell ref="M13:M16"/>
    <mergeCell ref="O13:O16"/>
    <mergeCell ref="P13:P16"/>
    <mergeCell ref="Q4:Q22"/>
    <mergeCell ref="K4:K22"/>
    <mergeCell ref="N4:N22"/>
    <mergeCell ref="M18:M22"/>
    <mergeCell ref="D13:D16"/>
  </mergeCells>
  <conditionalFormatting sqref="I28:Q28">
    <cfRule type="containsText" dxfId="4" priority="5" operator="containsText" text="לא עבר את סף האיכות">
      <formula>NOT(ISERROR(SEARCH("לא עבר את סף האיכות",I28)))</formula>
    </cfRule>
    <cfRule type="containsText" dxfId="3" priority="6" operator="containsText" text="עבר את סף האיכות">
      <formula>NOT(ISERROR(SEARCH("עבר את סף האיכות",I28)))</formula>
    </cfRule>
  </conditionalFormatting>
  <conditionalFormatting sqref="I26:Q26">
    <cfRule type="containsText" dxfId="2" priority="2" operator="containsText" text="לא">
      <formula>NOT(ISERROR(SEARCH("לא",I26)))</formula>
    </cfRule>
  </conditionalFormatting>
  <conditionalFormatting sqref="I4:I25 L4:L25 O4:O25">
    <cfRule type="cellIs" dxfId="1" priority="1" operator="equal">
      <formula>0</formula>
    </cfRule>
  </conditionalFormatting>
  <dataValidations count="1">
    <dataValidation type="list" allowBlank="1" showInputMessage="1" showErrorMessage="1" sqref="I18:I22 L18:L22 O18:O22">
      <formula1>$E$18:$E$22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rightToLeft="1" zoomScale="85" zoomScaleNormal="85" workbookViewId="0">
      <selection activeCell="E15" sqref="E15"/>
    </sheetView>
  </sheetViews>
  <sheetFormatPr defaultRowHeight="14.25" x14ac:dyDescent="0.2"/>
  <cols>
    <col min="2" max="2" width="22.25" bestFit="1" customWidth="1"/>
    <col min="3" max="5" width="20.625" customWidth="1"/>
  </cols>
  <sheetData>
    <row r="1" spans="2:5" ht="15" thickBot="1" x14ac:dyDescent="0.25"/>
    <row r="2" spans="2:5" ht="15" x14ac:dyDescent="0.25">
      <c r="B2" s="35"/>
      <c r="C2" s="25" t="str">
        <f>'תנאי סף'!D2</f>
        <v>מציע מס' 1</v>
      </c>
      <c r="D2" s="25" t="str">
        <f>'תנאי סף'!E2</f>
        <v>מציע מס' 2</v>
      </c>
      <c r="E2" s="33" t="str">
        <f>'תנאי סף'!F2</f>
        <v>מציע מס' 3</v>
      </c>
    </row>
    <row r="3" spans="2:5" x14ac:dyDescent="0.2">
      <c r="B3" s="36" t="s">
        <v>58</v>
      </c>
      <c r="C3" s="41"/>
      <c r="D3" s="41"/>
      <c r="E3" s="42"/>
    </row>
    <row r="4" spans="2:5" x14ac:dyDescent="0.2">
      <c r="B4" s="36" t="s">
        <v>59</v>
      </c>
      <c r="C4" s="32" t="e">
        <f>LOOKUP(C3,$B$22:$C$26,$C$22:$C$26)</f>
        <v>#N/A</v>
      </c>
      <c r="D4" s="32" t="e">
        <f t="shared" ref="D4:E4" si="0">LOOKUP(D3,$B$22:$C$26,$C$22:$C$26)</f>
        <v>#N/A</v>
      </c>
      <c r="E4" s="34" t="e">
        <f t="shared" si="0"/>
        <v>#N/A</v>
      </c>
    </row>
    <row r="5" spans="2:5" x14ac:dyDescent="0.2">
      <c r="B5" s="36" t="s">
        <v>60</v>
      </c>
      <c r="C5" s="43"/>
      <c r="D5" s="43"/>
      <c r="E5" s="44"/>
    </row>
    <row r="6" spans="2:5" x14ac:dyDescent="0.2">
      <c r="B6" s="36" t="s">
        <v>61</v>
      </c>
      <c r="C6" s="32" t="e">
        <f>(1-C5)*C4</f>
        <v>#N/A</v>
      </c>
      <c r="D6" s="32" t="e">
        <f t="shared" ref="D6:E6" si="1">(1-D5)*D4</f>
        <v>#N/A</v>
      </c>
      <c r="E6" s="34" t="e">
        <f t="shared" si="1"/>
        <v>#N/A</v>
      </c>
    </row>
    <row r="7" spans="2:5" ht="15.75" thickBot="1" x14ac:dyDescent="0.3">
      <c r="B7" s="39" t="s">
        <v>35</v>
      </c>
      <c r="C7" s="37" t="e">
        <f>MIN($C$6:$E$6)/C6*100</f>
        <v>#N/A</v>
      </c>
      <c r="D7" s="37" t="e">
        <f t="shared" ref="D7:E7" si="2">MIN($C$6:$E$6)/D6*100</f>
        <v>#N/A</v>
      </c>
      <c r="E7" s="38" t="e">
        <f t="shared" si="2"/>
        <v>#N/A</v>
      </c>
    </row>
    <row r="21" spans="2:3" ht="15" x14ac:dyDescent="0.25">
      <c r="B21" s="181" t="s">
        <v>71</v>
      </c>
      <c r="C21" s="181"/>
    </row>
    <row r="22" spans="2:3" x14ac:dyDescent="0.2">
      <c r="B22" t="s">
        <v>62</v>
      </c>
      <c r="C22" s="31">
        <v>294</v>
      </c>
    </row>
    <row r="23" spans="2:3" x14ac:dyDescent="0.2">
      <c r="B23" t="s">
        <v>63</v>
      </c>
      <c r="C23" s="31">
        <v>261</v>
      </c>
    </row>
    <row r="24" spans="2:3" x14ac:dyDescent="0.2">
      <c r="B24" t="s">
        <v>64</v>
      </c>
      <c r="C24" s="31">
        <v>181</v>
      </c>
    </row>
    <row r="25" spans="2:3" x14ac:dyDescent="0.2">
      <c r="B25" t="s">
        <v>65</v>
      </c>
      <c r="C25" s="31">
        <v>136</v>
      </c>
    </row>
    <row r="26" spans="2:3" x14ac:dyDescent="0.2">
      <c r="B26" t="s">
        <v>66</v>
      </c>
      <c r="C26" s="31">
        <v>103</v>
      </c>
    </row>
  </sheetData>
  <mergeCells count="1">
    <mergeCell ref="B21:C21"/>
  </mergeCells>
  <conditionalFormatting sqref="C3:E3 C5:E5">
    <cfRule type="cellIs" dxfId="0" priority="1" operator="equal">
      <formula>0</formula>
    </cfRule>
  </conditionalFormatting>
  <dataValidations count="1">
    <dataValidation type="list" allowBlank="1" showInputMessage="1" showErrorMessage="1" sqref="C3:E3">
      <formula1>$B$22:$B$26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"/>
  <sheetViews>
    <sheetView rightToLeft="1" workbookViewId="0">
      <selection activeCell="C25" sqref="C25"/>
    </sheetView>
  </sheetViews>
  <sheetFormatPr defaultRowHeight="14.25" x14ac:dyDescent="0.2"/>
  <cols>
    <col min="2" max="3" width="10.625" customWidth="1"/>
    <col min="4" max="6" width="20.625" customWidth="1"/>
  </cols>
  <sheetData>
    <row r="1" spans="2:6" ht="15" thickBot="1" x14ac:dyDescent="0.25"/>
    <row r="2" spans="2:6" ht="15" x14ac:dyDescent="0.25">
      <c r="B2" s="15" t="s">
        <v>36</v>
      </c>
      <c r="C2" s="16" t="s">
        <v>0</v>
      </c>
      <c r="D2" s="17" t="str">
        <f>'[1]בדיקת תנאי סף'!D2</f>
        <v>מציע מס' 1</v>
      </c>
      <c r="E2" s="17" t="str">
        <f>'[1]בדיקת תנאי סף'!E2</f>
        <v>מציע מס' 2</v>
      </c>
      <c r="F2" s="18" t="str">
        <f>'[1]בדיקת תנאי סף'!F2</f>
        <v>מציע מס' 3</v>
      </c>
    </row>
    <row r="3" spans="2:6" x14ac:dyDescent="0.2">
      <c r="B3" s="10" t="s">
        <v>37</v>
      </c>
      <c r="C3" s="11">
        <v>0.4</v>
      </c>
      <c r="D3" s="8" t="e">
        <f>איכות!I29</f>
        <v>#N/A</v>
      </c>
      <c r="E3" s="9" t="e">
        <f>איכות!L29</f>
        <v>#N/A</v>
      </c>
      <c r="F3" s="19" t="e">
        <f>איכות!O29</f>
        <v>#N/A</v>
      </c>
    </row>
    <row r="4" spans="2:6" x14ac:dyDescent="0.2">
      <c r="B4" s="10" t="s">
        <v>35</v>
      </c>
      <c r="C4" s="11">
        <v>0.6</v>
      </c>
      <c r="D4" s="8" t="e">
        <f>מחיר!C7</f>
        <v>#N/A</v>
      </c>
      <c r="E4" s="8" t="e">
        <f>מחיר!D7</f>
        <v>#N/A</v>
      </c>
      <c r="F4" s="8" t="e">
        <f>מחיר!E7</f>
        <v>#N/A</v>
      </c>
    </row>
    <row r="5" spans="2:6" ht="15.75" thickBot="1" x14ac:dyDescent="0.3">
      <c r="B5" s="12" t="s">
        <v>38</v>
      </c>
      <c r="C5" s="13">
        <f>SUM(C3:C4)</f>
        <v>1</v>
      </c>
      <c r="D5" s="14" t="e">
        <f>SUMPRODUCT(D3:D4,$C$3:$C$4)</f>
        <v>#N/A</v>
      </c>
      <c r="E5" s="14" t="e">
        <f t="shared" ref="E5:F5" si="0">SUMPRODUCT(E3:E4,$C$3:$C$4)</f>
        <v>#N/A</v>
      </c>
      <c r="F5" s="20" t="e">
        <f t="shared" si="0"/>
        <v>#N/A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8FB6845E3FCE143888E2C7029F91D7F" ma:contentTypeVersion="1" ma:contentTypeDescription="צור מסמך חדש." ma:contentTypeScope="" ma:versionID="b0f6fcf5d5883307d9c708c0f29b6d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1C3125-6A54-4FB3-A521-2A0A49CBD8A4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1B17D11-51BF-4A15-825F-D43A47AE3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71204-A33E-4B59-AC53-7E593B102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2</vt:i4>
      </vt:variant>
    </vt:vector>
  </HeadingPairs>
  <TitlesOfParts>
    <vt:vector size="6" baseType="lpstr">
      <vt:lpstr>תנאי סף</vt:lpstr>
      <vt:lpstr>איכות</vt:lpstr>
      <vt:lpstr>מחיר</vt:lpstr>
      <vt:lpstr>סופי</vt:lpstr>
      <vt:lpstr>'תנאי סף'!_Ref281262293</vt:lpstr>
      <vt:lpstr>'תנאי סף'!_Ref281265256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מפל מכרז 6/2012</dc:title>
  <dc:creator>Yossi Elezra</dc:creator>
  <cp:lastModifiedBy>mazal</cp:lastModifiedBy>
  <dcterms:created xsi:type="dcterms:W3CDTF">2010-12-13T08:56:12Z</dcterms:created>
  <dcterms:modified xsi:type="dcterms:W3CDTF">2012-04-03T12:33:16Z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0x010100A8FB6845E3FCE143888E2C7029F91D7F</vt:lpwstr>
  </property>
</Properties>
</file>